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rehled" sheetId="1" state="visible" r:id="rId3"/>
    <sheet name="P1" sheetId="2" state="visible" r:id="rId4"/>
    <sheet name="P2" sheetId="3" state="visible" r:id="rId5"/>
    <sheet name="P3" sheetId="4" state="visible" r:id="rId6"/>
    <sheet name="P4" sheetId="5" state="visible" r:id="rId7"/>
    <sheet name="P5" sheetId="6" state="visible" r:id="rId8"/>
    <sheet name="P6" sheetId="7" state="visible" r:id="rId9"/>
    <sheet name="P7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<sst xmlns="http://schemas.openxmlformats.org/spreadsheetml/2006/main" count="344" uniqueCount="129">
  <si>
    <t xml:space="preserve">Nejistota lineární regrese a výtěžnost – řešené příklady</t>
  </si>
  <si>
    <t xml:space="preserve">Cvičení z analytické chemie II. Vzorce a teorie jsou v prezentaci, zde jsou zadání a řešení v MS Excel / LibreOffice Calc.</t>
  </si>
  <si>
    <t xml:space="preserve">List</t>
  </si>
  <si>
    <t xml:space="preserve">Příklad</t>
  </si>
  <si>
    <t xml:space="preserve">Co je nového oproti předchozímu</t>
  </si>
  <si>
    <t xml:space="preserve">P1</t>
  </si>
  <si>
    <t xml:space="preserve">Sírany ve vodě – turbidimetrie</t>
  </si>
  <si>
    <t xml:space="preserve">Metoda kalibračních roztoků, koncentrace vzorku a její nejistota.</t>
  </si>
  <si>
    <t xml:space="preserve">P2</t>
  </si>
  <si>
    <t xml:space="preserve">Ag ve fotografických odpadech – AAS</t>
  </si>
  <si>
    <t xml:space="preserve">Standardní přídavek, extrapolace na nulový signál, bez ředění.</t>
  </si>
  <si>
    <t xml:space="preserve">P3</t>
  </si>
  <si>
    <t xml:space="preserve">Standardní přídavek zadaný koncentrací</t>
  </si>
  <si>
    <t xml:space="preserve">Navíc přepočet ředěním na původní vzorek.</t>
  </si>
  <si>
    <t xml:space="preserve">P4</t>
  </si>
  <si>
    <t xml:space="preserve">Cr ve vodě – AAS</t>
  </si>
  <si>
    <t xml:space="preserve">Přídavek zadaný objemem: nejprve přepočet objemu na koncentraci, pak stejně jako P3.</t>
  </si>
  <si>
    <t xml:space="preserve">P5</t>
  </si>
  <si>
    <t xml:space="preserve">Ca v říční vodě – AAS</t>
  </si>
  <si>
    <t xml:space="preserve">Stejný typ jako P4 – na samostatné procvičení.</t>
  </si>
  <si>
    <t xml:space="preserve">P6</t>
  </si>
  <si>
    <t xml:space="preserve">Mn v oceli – CRM</t>
  </si>
  <si>
    <t xml:space="preserve">Výtěžnost, její nejistota a test systematické chyby.</t>
  </si>
  <si>
    <t xml:space="preserve">P7</t>
  </si>
  <si>
    <t xml:space="preserve">Pb v CRM</t>
  </si>
  <si>
    <t xml:space="preserve">Totéž; nejistotě výtěžnosti dominuje nejistota CRM.</t>
  </si>
  <si>
    <t xml:space="preserve">Legenda</t>
  </si>
  <si>
    <t xml:space="preserve">1,23</t>
  </si>
  <si>
    <t xml:space="preserve">modře – zadaná data (lze měnit)</t>
  </si>
  <si>
    <t xml:space="preserve">černě – vypočteno vzorcem</t>
  </si>
  <si>
    <t xml:space="preserve">výsledek zaokrouhlený podle pravidla</t>
  </si>
  <si>
    <t xml:space="preserve">P1 – Sírany ve vodě (turbidimetrie)</t>
  </si>
  <si>
    <t xml:space="preserve">Zadání</t>
  </si>
  <si>
    <t xml:space="preserve">Koncentrace síranových iontů v přírodních vodách se stanovuje turbidimetrickou metodou. Ke vzorku vody se přidá přebytek barnatých iontů, pH se upraví na hodnotu 5 a po 20 minutách se měří zákal síranu barnatého v turbidimetru. Instrument se kalibruje standardním roztokem síranu sodného, kalibrační data jsou uvedena v tabulce. Vypočtěte koncentraci síranových iontů ve vzorku vody spolu s rozšířenou nejistotou (k = 2), jestliže instrumentální signál vzorku měl hodnotu 3,67 (průměr ze 6 opakování).</t>
  </si>
  <si>
    <t xml:space="preserve">Řešení</t>
  </si>
  <si>
    <t xml:space="preserve">c(SO4) [mg/L]</t>
  </si>
  <si>
    <t xml:space="preserve">Y [a.u.]</t>
  </si>
  <si>
    <t xml:space="preserve">signál vzorku Y_vz</t>
  </si>
  <si>
    <t xml:space="preserve">a.u.</t>
  </si>
  <si>
    <t xml:space="preserve">zadáno</t>
  </si>
  <si>
    <t xml:space="preserve">počet opakování vzorku N</t>
  </si>
  <si>
    <t xml:space="preserve">směrnice b1</t>
  </si>
  <si>
    <t xml:space="preserve">L/mg</t>
  </si>
  <si>
    <t xml:space="preserve">SLOPE(hodnoty_y; hodnoty_x)</t>
  </si>
  <si>
    <t xml:space="preserve">úsek b0</t>
  </si>
  <si>
    <t xml:space="preserve">INTERCEPT(hodnoty_y; hodnoty_x)</t>
  </si>
  <si>
    <t xml:space="preserve">směrodatná odchylka regrese s_yx</t>
  </si>
  <si>
    <t xml:space="preserve">STEYX(hodnoty_y; hodnoty_x)</t>
  </si>
  <si>
    <t xml:space="preserve">počet kalibračních roztoků n</t>
  </si>
  <si>
    <t xml:space="preserve">COUNT</t>
  </si>
  <si>
    <t xml:space="preserve">Q_xx</t>
  </si>
  <si>
    <t xml:space="preserve">n * VARPA(hodnoty_x)</t>
  </si>
  <si>
    <t xml:space="preserve">průměr signálů kalibrace</t>
  </si>
  <si>
    <t xml:space="preserve">AVERAGE</t>
  </si>
  <si>
    <t xml:space="preserve">koncentrace c</t>
  </si>
  <si>
    <t xml:space="preserve">mg/L</t>
  </si>
  <si>
    <t xml:space="preserve">(Y_vz − b0) / b1</t>
  </si>
  <si>
    <t xml:space="preserve">standardní nejistota u</t>
  </si>
  <si>
    <t xml:space="preserve">rovnice 7.4 ve skriptech</t>
  </si>
  <si>
    <t xml:space="preserve">rozšířená nejistota U (k = 2)</t>
  </si>
  <si>
    <t xml:space="preserve">2 * u</t>
  </si>
  <si>
    <t xml:space="preserve">Výsledek (zaokrouhleno, k = 2)</t>
  </si>
  <si>
    <t xml:space="preserve">c(SO4) =</t>
  </si>
  <si>
    <t xml:space="preserve">±</t>
  </si>
  <si>
    <t xml:space="preserve">mg/L (k = 2)</t>
  </si>
  <si>
    <t xml:space="preserve">Nejistota zaokrouhlena na 2 platné číslice, výsledek na stejný počet desetinných míst.</t>
  </si>
  <si>
    <t xml:space="preserve">P2 – Ag ve fotografických odpadech (AAS, standardní přídavek)</t>
  </si>
  <si>
    <t xml:space="preserve">Stříbro se ve fotografických odpadech stanovuje metodou AAS. Byla použita metoda standardního přídavku: ke vzorku byly přidány rostoucí koncentrace stříbra uvedené v tabulce (bez dalšího ředění vzorku) a změřeny absorbance. Vypočtěte koncentraci Ag ve vzorku spolu s rozšířenou nejistotou (k = 2).</t>
  </si>
  <si>
    <t xml:space="preserve">c(Ag) přidané [mg/L]</t>
  </si>
  <si>
    <t xml:space="preserve">A</t>
  </si>
  <si>
    <t xml:space="preserve">počet roztoků n</t>
  </si>
  <si>
    <t xml:space="preserve">průměr signálů</t>
  </si>
  <si>
    <t xml:space="preserve">koncentrace v měřeném roztoku</t>
  </si>
  <si>
    <t xml:space="preserve">b0 / b1 (extrapolace na nulový signál)</t>
  </si>
  <si>
    <t xml:space="preserve">nejistota v měřeném roztoku</t>
  </si>
  <si>
    <t xml:space="preserve">s_yx/b1 * odmocnina(1/n + průměr^2/(b1^2*Q_xx))</t>
  </si>
  <si>
    <t xml:space="preserve">ředění V / V_x</t>
  </si>
  <si>
    <t xml:space="preserve">bez ředění – zadáno 1</t>
  </si>
  <si>
    <t xml:space="preserve">koncentrace ve vzorku c_x</t>
  </si>
  <si>
    <t xml:space="preserve">ředění * b0/b1</t>
  </si>
  <si>
    <t xml:space="preserve">ředění * nejistota v měřeném roztoku</t>
  </si>
  <si>
    <t xml:space="preserve">c_x =</t>
  </si>
  <si>
    <t xml:space="preserve">Extrapolace na nulový signál je jen geometrický zápis toho, že signál vzorku vydělíme směrnicí.</t>
  </si>
  <si>
    <t xml:space="preserve">P3 – Standardní přídavek zadaný koncentrací, s ředěním</t>
  </si>
  <si>
    <t xml:space="preserve">Obsah analytu ve vzorku byl stanoven metodou standardního přídavku. Do pěti odměrných baněk o objemu 50 mL bylo odpipetováno 10 mL vzorku. Ve čtyřech z nich vzrostla přídavkem standardního roztoku koncentrace analytu o hodnoty uvedené v tabulce, poté byly baňky doplněny po rysku. Uvedeny jsou také naměřené signály jednotlivých roztoků. Vypočtěte koncentraci analytu v původním vzorku spolu s rozšířenou nejistotou (k = 2).</t>
  </si>
  <si>
    <t xml:space="preserve">r přidané [mg/L]</t>
  </si>
  <si>
    <t xml:space="preserve">objem baňky V</t>
  </si>
  <si>
    <t xml:space="preserve">mL</t>
  </si>
  <si>
    <t xml:space="preserve">objem vzorku V_x</t>
  </si>
  <si>
    <t xml:space="preserve">přepočet na původní vzorek</t>
  </si>
  <si>
    <t xml:space="preserve">tj. v g/L</t>
  </si>
  <si>
    <t xml:space="preserve">g/L (k = 2)</t>
  </si>
  <si>
    <t xml:space="preserve">P4 – Cr ve vodě (AAS, přídavek zadaný objemem)</t>
  </si>
  <si>
    <t xml:space="preserve">Chrom se ve vodných roztocích stanovuje metodou AAS. Do pěti odměrných baněk o objemu 50 mL se pipetuje 10 mL vzorku vody, do čtyř z nich se potom přidají různé objemy standardního roztoku chromité soli o koncentraci 12,2 mg/L. Po doplnění po rysku se změří absorbance. Výsledky jsou uvedeny v tabulce. Vypočtěte koncentraci Cr ve vzorku spolu s rozšířenou nejistotou (k = 2).</t>
  </si>
  <si>
    <t xml:space="preserve">V_s přidané [mL]</t>
  </si>
  <si>
    <t xml:space="preserve">koncentrace standardu c_s</t>
  </si>
  <si>
    <t xml:space="preserve">krok 1: přepočet objemu na koncentraci</t>
  </si>
  <si>
    <t xml:space="preserve">sloupec r = c_s * V_s / V (zvýšení koncentrace v baňce)</t>
  </si>
  <si>
    <t xml:space="preserve">SLOPE(hodnoty_y; hodnoty_x), x = sloupec r</t>
  </si>
  <si>
    <t xml:space="preserve">P5 – Ca v říční vodě (AAS) – procvičení</t>
  </si>
  <si>
    <t xml:space="preserve">Vápník byl stanoven v říční vodě metodou AAS s vícenásobným standardním přídavkem. Čtyři alikvotní podíly vzorku o objemu 25 mL byly odpipetovány do odměrných baněk o objemu 50 mL, byly přidány objemy standardního roztoku o koncentraci 2,5 mg/L uvedené v tabulce a roztoky byly doplněny po rysku. Naměřené absorbance jsou v tabulce. Vypočtěte koncentraci Ca ve vzorku spolu s rozšířenou nejistotou (k = 2).</t>
  </si>
  <si>
    <t xml:space="preserve">P6 – Mn v oceli (certifikovaný referenční materiál)</t>
  </si>
  <si>
    <t xml:space="preserve">Při opakovaném titračním stanovení manganu v certifikovaném referenčním materiálu oceli byly nalezeny hodnoty uvedené v tabulce. Certifikovaný obsah manganu je 0,67 % se standardní nejistotou 0,01 %. Jaká je směrodatná odchylka opakovatelnosti? Vypočtěte výtěžnost metody a její nejistotu a rozhodněte (na hladině významnosti 0,05), zda je metoda zatížena systematickou chybou.</t>
  </si>
  <si>
    <t xml:space="preserve">č. stanovení</t>
  </si>
  <si>
    <t xml:space="preserve">w(Mn) [%]</t>
  </si>
  <si>
    <t xml:space="preserve">certifikovaná hodnota x_CRM</t>
  </si>
  <si>
    <t xml:space="preserve">%</t>
  </si>
  <si>
    <t xml:space="preserve">standardní nejistota u_CRM</t>
  </si>
  <si>
    <t xml:space="preserve">zadáno (k = 1)</t>
  </si>
  <si>
    <t xml:space="preserve">počet stanovení n</t>
  </si>
  <si>
    <t xml:space="preserve">průměr</t>
  </si>
  <si>
    <t xml:space="preserve">směrodatná odchylka opakovatelnosti s</t>
  </si>
  <si>
    <t xml:space="preserve">STDEV (výběrová, = STDEV.S)</t>
  </si>
  <si>
    <t xml:space="preserve">směrodatná odchylka průměru</t>
  </si>
  <si>
    <t xml:space="preserve">s / odmocnina(n)</t>
  </si>
  <si>
    <t xml:space="preserve">výtěžnost R</t>
  </si>
  <si>
    <t xml:space="preserve">průměr / x_CRM</t>
  </si>
  <si>
    <t xml:space="preserve">nejistota výtěžnosti u(R)</t>
  </si>
  <si>
    <t xml:space="preserve">R * odmocnina((s_průměru/průměr)^2 + (u_CRM/x_CRM)^2)</t>
  </si>
  <si>
    <t xml:space="preserve">Test systematické chyby (α = 0,05, k = 2)</t>
  </si>
  <si>
    <t xml:space="preserve">|R − 1|</t>
  </si>
  <si>
    <t xml:space="preserve">k · u(R)</t>
  </si>
  <si>
    <t xml:space="preserve">Závěr</t>
  </si>
  <si>
    <t xml:space="preserve">R =</t>
  </si>
  <si>
    <t xml:space="preserve">(k = 2)</t>
  </si>
  <si>
    <t xml:space="preserve">P7 – Pb v certifikovaném referenčním materiálu</t>
  </si>
  <si>
    <t xml:space="preserve">Z výsledků opakované analýzy certifikovaného referenčního materiálu obsahujícího olovo (certifikovaný obsah 47,9 µg/g se standardní nejistotou 1,3 µg/g) vypočítejte výtěžnost metody včetně její nejistoty a rozhodněte (na hladině významnosti 0,05), zda je metoda zatížena systematickou chybou.</t>
  </si>
  <si>
    <t xml:space="preserve">Pb [µg/g]</t>
  </si>
  <si>
    <t xml:space="preserve">µg/g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</si>
</sst>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0"/>
    <numFmt numFmtId="167" formatCode="0.0000"/>
    <numFmt numFmtId="168" formatCode="0.000"/>
    <numFmt numFmtId="169" formatCode="General"/>
    <numFmt numFmtId="170" formatCode="0.000000"/>
    <numFmt numFmtId="171" formatCode="0.00000"/>
    <numFmt numFmtId="172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E8C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6F2"/>
        <bgColor rgb="FFD9D9D9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2CC"/>
      <rgbColor rgb="FFDD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1F4E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"data"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1f4e8c"/>
            </a:solidFill>
            <a:ln w="47520">
              <a:noFill/>
            </a:ln>
          </c:spPr>
          <c:marker>
            <c:symbol val="circle"/>
            <c:size val="7"/>
            <c:spPr>
              <a:solidFill>
                <a:srgbClr val="1f4e8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0"/>
            <c:dispRSqr val="0"/>
            <c:dispEq val="0"/>
          </c:trendline>
          <c:xVal>
            <c:numRef>
              <c:f>P1!$A$12:$A$16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P1!$B$12:$B$16</c:f>
              <c:numCache>
                <c:formatCode>General</c:formatCode>
                <c:ptCount val="5"/>
                <c:pt idx="0">
                  <c:v>0.06</c:v>
                </c:pt>
                <c:pt idx="1">
                  <c:v>1.48</c:v>
                </c:pt>
                <c:pt idx="2">
                  <c:v>2.28</c:v>
                </c:pt>
                <c:pt idx="3">
                  <c:v>3.98</c:v>
                </c:pt>
                <c:pt idx="4">
                  <c:v>4.61</c:v>
                </c:pt>
              </c:numCache>
            </c:numRef>
          </c:yVal>
          <c:smooth val="1"/>
        </c:ser>
        <c:axId val="38098250"/>
        <c:axId val="32310888"/>
      </c:scatterChart>
      <c:valAx>
        <c:axId val="3809825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c(SO4) [mg/L]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10888"/>
        <c:crosses val="autoZero"/>
        <c:crossBetween val="midCat"/>
      </c:valAx>
      <c:valAx>
        <c:axId val="3231088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 [a.u.]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098250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"data"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1f4e8c"/>
            </a:solidFill>
            <a:ln w="47520">
              <a:noFill/>
            </a:ln>
          </c:spPr>
          <c:marker>
            <c:symbol val="circle"/>
            <c:size val="7"/>
            <c:spPr>
              <a:solidFill>
                <a:srgbClr val="1f4e8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17.606"/>
            <c:dispRSqr val="0"/>
            <c:dispEq val="0"/>
          </c:trendline>
          <c:xVal>
            <c:numRef>
              <c:f>P2!$A$12:$A$18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P2!$B$12:$B$18</c:f>
              <c:numCache>
                <c:formatCode>General</c:formatCode>
                <c:ptCount val="7"/>
                <c:pt idx="0">
                  <c:v>0.32</c:v>
                </c:pt>
                <c:pt idx="1">
                  <c:v>0.41</c:v>
                </c:pt>
                <c:pt idx="2">
                  <c:v>0.52</c:v>
                </c:pt>
                <c:pt idx="3">
                  <c:v>0.6</c:v>
                </c:pt>
                <c:pt idx="4">
                  <c:v>0.7</c:v>
                </c:pt>
                <c:pt idx="5">
                  <c:v>0.77</c:v>
                </c:pt>
                <c:pt idx="6">
                  <c:v>0.89</c:v>
                </c:pt>
              </c:numCache>
            </c:numRef>
          </c:yVal>
          <c:smooth val="1"/>
        </c:ser>
        <c:axId val="51937949"/>
        <c:axId val="21111432"/>
      </c:scatterChart>
      <c:valAx>
        <c:axId val="51937949"/>
        <c:scaling>
          <c:orientation val="minMax"/>
          <c:min val="-2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c(Ag) přidané [mg/L]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111432"/>
        <c:crosses val="autoZero"/>
        <c:crossBetween val="midCat"/>
      </c:valAx>
      <c:valAx>
        <c:axId val="2111143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937949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"data"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1f4e8c"/>
            </a:solidFill>
            <a:ln w="47520">
              <a:noFill/>
            </a:ln>
          </c:spPr>
          <c:marker>
            <c:symbol val="circle"/>
            <c:size val="7"/>
            <c:spPr>
              <a:solidFill>
                <a:srgbClr val="1f4e8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128.517"/>
            <c:dispRSqr val="0"/>
            <c:dispEq val="0"/>
          </c:trendline>
          <c:xVal>
            <c:numRef>
              <c:f>P3!$A$12:$A$16</c:f>
              <c:numCache>
                <c:formatCode>General</c:formatCode>
                <c:ptCount val="5"/>
                <c:pt idx="0">
                  <c:v>0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P3!$B$12:$B$16</c:f>
              <c:numCache>
                <c:formatCode>General</c:formatCode>
                <c:ptCount val="5"/>
                <c:pt idx="0">
                  <c:v>0.811</c:v>
                </c:pt>
                <c:pt idx="1">
                  <c:v>0.998</c:v>
                </c:pt>
                <c:pt idx="2">
                  <c:v>1.135</c:v>
                </c:pt>
                <c:pt idx="3">
                  <c:v>1.331</c:v>
                </c:pt>
                <c:pt idx="4">
                  <c:v>1.459</c:v>
                </c:pt>
              </c:numCache>
            </c:numRef>
          </c:yVal>
          <c:smooth val="1"/>
        </c:ser>
        <c:axId val="92270216"/>
        <c:axId val="65037179"/>
      </c:scatterChart>
      <c:valAx>
        <c:axId val="92270216"/>
        <c:scaling>
          <c:orientation val="minMax"/>
          <c:min val="-15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 přidané [mg/L]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037179"/>
        <c:crosses val="autoZero"/>
        <c:crossBetween val="midCat"/>
      </c:valAx>
      <c:valAx>
        <c:axId val="65037179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 [a.u.]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270216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"data"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1f4e8c"/>
            </a:solidFill>
            <a:ln w="47520">
              <a:noFill/>
            </a:ln>
          </c:spPr>
          <c:marker>
            <c:symbol val="circle"/>
            <c:size val="7"/>
            <c:spPr>
              <a:solidFill>
                <a:srgbClr val="1f4e8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5.7121"/>
            <c:dispRSqr val="0"/>
            <c:dispEq val="0"/>
          </c:trendline>
          <c:xVal>
            <c:numRef>
              <c:f>P4!$C$12:$C$16</c:f>
              <c:numCache>
                <c:formatCode>0.000</c:formatCode>
                <c:ptCount val="5"/>
                <c:pt idx="0">
                  <c:v>0</c:v>
                </c:pt>
                <c:pt idx="1">
                  <c:v>2.44</c:v>
                </c:pt>
                <c:pt idx="2">
                  <c:v>4.88</c:v>
                </c:pt>
                <c:pt idx="3">
                  <c:v>7.32</c:v>
                </c:pt>
                <c:pt idx="4">
                  <c:v>9.76</c:v>
                </c:pt>
              </c:numCache>
            </c:numRef>
          </c:xVal>
          <c:yVal>
            <c:numRef>
              <c:f>P4!$B$12:$B$16</c:f>
              <c:numCache>
                <c:formatCode>General</c:formatCode>
                <c:ptCount val="5"/>
                <c:pt idx="0">
                  <c:v>0.201</c:v>
                </c:pt>
                <c:pt idx="1">
                  <c:v>0.292</c:v>
                </c:pt>
                <c:pt idx="2">
                  <c:v>0.378</c:v>
                </c:pt>
                <c:pt idx="3">
                  <c:v>0.467</c:v>
                </c:pt>
                <c:pt idx="4">
                  <c:v>0.554</c:v>
                </c:pt>
              </c:numCache>
            </c:numRef>
          </c:yVal>
          <c:smooth val="1"/>
        </c:ser>
        <c:axId val="1283953"/>
        <c:axId val="14420483"/>
      </c:scatterChart>
      <c:valAx>
        <c:axId val="1283953"/>
        <c:scaling>
          <c:orientation val="minMax"/>
          <c:min val="-6.5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 přidané [mg/L]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420483"/>
        <c:crosses val="autoZero"/>
        <c:crossBetween val="midCat"/>
      </c:valAx>
      <c:valAx>
        <c:axId val="14420483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83953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"data"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1f4e8c"/>
            </a:solidFill>
            <a:ln w="47520">
              <a:noFill/>
            </a:ln>
          </c:spPr>
          <c:marker>
            <c:symbol val="circle"/>
            <c:size val="7"/>
            <c:spPr>
              <a:solidFill>
                <a:srgbClr val="1f4e8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0.0762"/>
            <c:dispRSqr val="0"/>
            <c:dispEq val="0"/>
          </c:trendline>
          <c:xVal>
            <c:numRef>
              <c:f>P5!$C$12:$C$15</c:f>
              <c:numCache>
                <c:formatCode>0.000</c:formatCode>
                <c:ptCount val="4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</c:numCache>
            </c:numRef>
          </c:xVal>
          <c:yVal>
            <c:numRef>
              <c:f>P5!$B$12:$B$15</c:f>
              <c:numCache>
                <c:formatCode>General</c:formatCode>
                <c:ptCount val="4"/>
                <c:pt idx="0">
                  <c:v>0.101</c:v>
                </c:pt>
                <c:pt idx="1">
                  <c:v>0.176</c:v>
                </c:pt>
                <c:pt idx="2">
                  <c:v>0.238</c:v>
                </c:pt>
                <c:pt idx="3">
                  <c:v>0.31</c:v>
                </c:pt>
              </c:numCache>
            </c:numRef>
          </c:yVal>
          <c:smooth val="1"/>
        </c:ser>
        <c:axId val="90935384"/>
        <c:axId val="31469100"/>
      </c:scatterChart>
      <c:valAx>
        <c:axId val="90935384"/>
        <c:scaling>
          <c:orientation val="minMax"/>
          <c:min val="-0.09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 přidané [mg/L]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469100"/>
        <c:crosses val="autoZero"/>
        <c:crossBetween val="midCat"/>
      </c:valAx>
      <c:valAx>
        <c:axId val="31469100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935384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160560</xdr:rowOff>
    </xdr:from>
    <xdr:to>
      <xdr:col>3</xdr:col>
      <xdr:colOff>27000</xdr:colOff>
      <xdr:row>31</xdr:row>
      <xdr:rowOff>23400</xdr:rowOff>
    </xdr:to>
    <xdr:graphicFrame>
      <xdr:nvGraphicFramePr>
        <xdr:cNvPr id="0" name="Chart 1"/>
        <xdr:cNvGraphicFramePr/>
      </xdr:nvGraphicFramePr>
      <xdr:xfrm>
        <a:off x="0" y="3619440"/>
        <a:ext cx="2987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48240</xdr:rowOff>
    </xdr:from>
    <xdr:to>
      <xdr:col>3</xdr:col>
      <xdr:colOff>27000</xdr:colOff>
      <xdr:row>28</xdr:row>
      <xdr:rowOff>142920</xdr:rowOff>
    </xdr:to>
    <xdr:graphicFrame>
      <xdr:nvGraphicFramePr>
        <xdr:cNvPr id="1" name="Chart 1"/>
        <xdr:cNvGraphicFramePr/>
      </xdr:nvGraphicFramePr>
      <xdr:xfrm>
        <a:off x="0" y="3619440"/>
        <a:ext cx="2987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160560</xdr:rowOff>
    </xdr:from>
    <xdr:to>
      <xdr:col>3</xdr:col>
      <xdr:colOff>27000</xdr:colOff>
      <xdr:row>31</xdr:row>
      <xdr:rowOff>23400</xdr:rowOff>
    </xdr:to>
    <xdr:graphicFrame>
      <xdr:nvGraphicFramePr>
        <xdr:cNvPr id="2" name="Chart 1"/>
        <xdr:cNvGraphicFramePr/>
      </xdr:nvGraphicFramePr>
      <xdr:xfrm>
        <a:off x="0" y="3619440"/>
        <a:ext cx="2987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48240</xdr:rowOff>
    </xdr:from>
    <xdr:to>
      <xdr:col>3</xdr:col>
      <xdr:colOff>27000</xdr:colOff>
      <xdr:row>30</xdr:row>
      <xdr:rowOff>101520</xdr:rowOff>
    </xdr:to>
    <xdr:graphicFrame>
      <xdr:nvGraphicFramePr>
        <xdr:cNvPr id="3" name="Chart 1"/>
        <xdr:cNvGraphicFramePr/>
      </xdr:nvGraphicFramePr>
      <xdr:xfrm>
        <a:off x="0" y="3619440"/>
        <a:ext cx="2987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48240</xdr:rowOff>
    </xdr:from>
    <xdr:to>
      <xdr:col>3</xdr:col>
      <xdr:colOff>27000</xdr:colOff>
      <xdr:row>30</xdr:row>
      <xdr:rowOff>101520</xdr:rowOff>
    </xdr:to>
    <xdr:graphicFrame>
      <xdr:nvGraphicFramePr>
        <xdr:cNvPr id="4" name="Chart 1"/>
        <xdr:cNvGraphicFramePr/>
      </xdr:nvGraphicFramePr>
      <xdr:xfrm>
        <a:off x="0" y="3619440"/>
        <a:ext cx="2987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4"/>
    <col collapsed="false" customWidth="true" hidden="false" outlineLevel="0" max="3" min="3" style="1" width="62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5" t="s">
        <v>6</v>
      </c>
      <c r="C5" s="5" t="s">
        <v>7</v>
      </c>
    </row>
    <row r="6" customFormat="false" ht="15" hidden="false" customHeight="false" outlineLevel="0" collapsed="false">
      <c r="A6" s="5" t="s">
        <v>8</v>
      </c>
      <c r="B6" s="5" t="s">
        <v>9</v>
      </c>
      <c r="C6" s="5" t="s">
        <v>10</v>
      </c>
    </row>
    <row r="7" customFormat="false" ht="15" hidden="false" customHeight="false" outlineLevel="0" collapsed="false">
      <c r="A7" s="5" t="s">
        <v>11</v>
      </c>
      <c r="B7" s="5" t="s">
        <v>12</v>
      </c>
      <c r="C7" s="5" t="s">
        <v>13</v>
      </c>
    </row>
    <row r="8" customFormat="false" ht="23.85" hidden="false" customHeight="false" outlineLevel="0" collapsed="false">
      <c r="A8" s="5" t="s">
        <v>14</v>
      </c>
      <c r="B8" s="5" t="s">
        <v>15</v>
      </c>
      <c r="C8" s="5" t="s">
        <v>16</v>
      </c>
    </row>
    <row r="9" customFormat="false" ht="15" hidden="false" customHeight="false" outlineLevel="0" collapsed="false">
      <c r="A9" s="5" t="s">
        <v>17</v>
      </c>
      <c r="B9" s="5" t="s">
        <v>18</v>
      </c>
      <c r="C9" s="5" t="s">
        <v>19</v>
      </c>
    </row>
    <row r="10" customFormat="false" ht="15" hidden="false" customHeight="false" outlineLevel="0" collapsed="false">
      <c r="A10" s="5" t="s">
        <v>20</v>
      </c>
      <c r="B10" s="5" t="s">
        <v>21</v>
      </c>
      <c r="C10" s="5" t="s">
        <v>22</v>
      </c>
    </row>
    <row r="11" customFormat="false" ht="15" hidden="false" customHeight="false" outlineLevel="0" collapsed="false">
      <c r="A11" s="5" t="s">
        <v>23</v>
      </c>
      <c r="B11" s="5" t="s">
        <v>24</v>
      </c>
      <c r="C11" s="5" t="s">
        <v>25</v>
      </c>
    </row>
    <row r="14" customFormat="false" ht="15" hidden="false" customHeight="false" outlineLevel="0" collapsed="false">
      <c r="A14" s="6" t="s">
        <v>26</v>
      </c>
    </row>
    <row r="15" customFormat="false" ht="15" hidden="false" customHeight="false" outlineLevel="0" collapsed="false">
      <c r="A15" s="7" t="s">
        <v>27</v>
      </c>
      <c r="B15" s="8" t="s">
        <v>28</v>
      </c>
    </row>
    <row r="16" customFormat="false" ht="15" hidden="false" customHeight="false" outlineLevel="0" collapsed="false">
      <c r="A16" s="9" t="s">
        <v>27</v>
      </c>
      <c r="B16" s="8" t="s">
        <v>29</v>
      </c>
    </row>
    <row r="17" customFormat="false" ht="15" hidden="false" customHeight="false" outlineLevel="0" collapsed="false">
      <c r="A17" s="10" t="s">
        <v>27</v>
      </c>
      <c r="B17" s="8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31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33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15" hidden="false" customHeight="false" outlineLevel="0" collapsed="false">
      <c r="A11" s="12" t="s">
        <v>35</v>
      </c>
      <c r="B11" s="12" t="s">
        <v>36</v>
      </c>
      <c r="E11" s="8" t="s">
        <v>37</v>
      </c>
      <c r="F11" s="13" t="n">
        <v>3.67</v>
      </c>
      <c r="G11" s="8" t="s">
        <v>38</v>
      </c>
      <c r="H11" s="3" t="s">
        <v>39</v>
      </c>
    </row>
    <row r="12" customFormat="false" ht="15" hidden="false" customHeight="false" outlineLevel="0" collapsed="false">
      <c r="A12" s="7" t="n">
        <v>0</v>
      </c>
      <c r="B12" s="7" t="n">
        <v>0.06</v>
      </c>
      <c r="E12" s="8" t="s">
        <v>40</v>
      </c>
      <c r="F12" s="14" t="n">
        <v>6</v>
      </c>
      <c r="G12" s="8"/>
      <c r="H12" s="3" t="s">
        <v>39</v>
      </c>
    </row>
    <row r="13" customFormat="false" ht="15" hidden="false" customHeight="false" outlineLevel="0" collapsed="false">
      <c r="A13" s="7" t="n">
        <v>5</v>
      </c>
      <c r="B13" s="7" t="n">
        <v>1.48</v>
      </c>
      <c r="E13" s="8" t="s">
        <v>41</v>
      </c>
      <c r="F13" s="15" t="n">
        <f aca="false">SLOPE(B12:B16,A12:A16)</f>
        <v>0.232</v>
      </c>
      <c r="G13" s="8" t="s">
        <v>42</v>
      </c>
      <c r="H13" s="3" t="s">
        <v>43</v>
      </c>
    </row>
    <row r="14" customFormat="false" ht="15" hidden="false" customHeight="false" outlineLevel="0" collapsed="false">
      <c r="A14" s="7" t="n">
        <v>10</v>
      </c>
      <c r="B14" s="7" t="n">
        <v>2.28</v>
      </c>
      <c r="E14" s="8" t="s">
        <v>44</v>
      </c>
      <c r="F14" s="15" t="n">
        <f aca="false">INTERCEPT(B12:B16,A12:A16)</f>
        <v>0.162</v>
      </c>
      <c r="G14" s="8" t="s">
        <v>38</v>
      </c>
      <c r="H14" s="3" t="s">
        <v>45</v>
      </c>
    </row>
    <row r="15" customFormat="false" ht="15" hidden="false" customHeight="false" outlineLevel="0" collapsed="false">
      <c r="A15" s="7" t="n">
        <v>15</v>
      </c>
      <c r="B15" s="7" t="n">
        <v>3.98</v>
      </c>
      <c r="E15" s="8" t="s">
        <v>46</v>
      </c>
      <c r="F15" s="15" t="n">
        <f aca="false">STEYX(B12:B16,A12:A16)</f>
        <v>0.275245345101422</v>
      </c>
      <c r="G15" s="8" t="s">
        <v>38</v>
      </c>
      <c r="H15" s="3" t="s">
        <v>47</v>
      </c>
    </row>
    <row r="16" customFormat="false" ht="15" hidden="false" customHeight="false" outlineLevel="0" collapsed="false">
      <c r="A16" s="7" t="n">
        <v>20</v>
      </c>
      <c r="B16" s="7" t="n">
        <v>4.61</v>
      </c>
      <c r="E16" s="8" t="s">
        <v>48</v>
      </c>
      <c r="F16" s="16" t="n">
        <f aca="false">COUNT(A12:A16)</f>
        <v>5</v>
      </c>
      <c r="G16" s="8"/>
      <c r="H16" s="3" t="s">
        <v>49</v>
      </c>
    </row>
    <row r="17" customFormat="false" ht="15" hidden="false" customHeight="false" outlineLevel="0" collapsed="false">
      <c r="E17" s="8" t="s">
        <v>50</v>
      </c>
      <c r="F17" s="17" t="n">
        <f aca="false">F16*VARPA(A12:A16)</f>
        <v>250</v>
      </c>
      <c r="G17" s="8"/>
      <c r="H17" s="3" t="s">
        <v>51</v>
      </c>
    </row>
    <row r="18" customFormat="false" ht="15" hidden="false" customHeight="false" outlineLevel="0" collapsed="false">
      <c r="E18" s="8" t="s">
        <v>52</v>
      </c>
      <c r="F18" s="15" t="n">
        <f aca="false">AVERAGE(B12:B16)</f>
        <v>2.482</v>
      </c>
      <c r="G18" s="8" t="s">
        <v>38</v>
      </c>
      <c r="H18" s="3" t="s">
        <v>53</v>
      </c>
    </row>
    <row r="19" customFormat="false" ht="15" hidden="false" customHeight="false" outlineLevel="0" collapsed="false">
      <c r="E19" s="8" t="s">
        <v>54</v>
      </c>
      <c r="F19" s="18" t="n">
        <f aca="false">(F11-F14)/F13</f>
        <v>15.1206896551724</v>
      </c>
      <c r="G19" s="8" t="s">
        <v>55</v>
      </c>
      <c r="H19" s="3" t="s">
        <v>56</v>
      </c>
    </row>
    <row r="20" customFormat="false" ht="15" hidden="false" customHeight="false" outlineLevel="0" collapsed="false">
      <c r="E20" s="8" t="s">
        <v>57</v>
      </c>
      <c r="F20" s="18" t="n">
        <f aca="false">F15/F13*SQRT(1/F16+1/F12+(F18-F11)^2/(F13^2*F17))</f>
        <v>0.814698715723957</v>
      </c>
      <c r="G20" s="8" t="s">
        <v>55</v>
      </c>
      <c r="H20" s="3" t="s">
        <v>58</v>
      </c>
    </row>
    <row r="21" customFormat="false" ht="15" hidden="false" customHeight="false" outlineLevel="0" collapsed="false">
      <c r="E21" s="8" t="s">
        <v>59</v>
      </c>
      <c r="F21" s="18" t="n">
        <f aca="false">2*F20</f>
        <v>1.62939743144791</v>
      </c>
      <c r="G21" s="8" t="s">
        <v>55</v>
      </c>
      <c r="H21" s="3" t="s">
        <v>60</v>
      </c>
    </row>
    <row r="23" customFormat="false" ht="15" hidden="false" customHeight="false" outlineLevel="0" collapsed="false">
      <c r="E23" s="6" t="s">
        <v>61</v>
      </c>
    </row>
    <row r="24" customFormat="false" ht="15" hidden="false" customHeight="false" outlineLevel="0" collapsed="false">
      <c r="E24" s="19" t="s">
        <v>62</v>
      </c>
      <c r="F24" s="20" t="str">
        <f aca="false">FIXED(F19,MAX(0,(1-INT(LOG10(F21)))),TRUE())</f>
        <v>15.1</v>
      </c>
      <c r="G24" s="21" t="s">
        <v>63</v>
      </c>
      <c r="H24" s="22" t="str">
        <f aca="false">FIXED(F21,MAX(0,(1-INT(LOG10(F21)))),TRUE())</f>
        <v>1.6</v>
      </c>
      <c r="I24" s="19" t="s">
        <v>64</v>
      </c>
    </row>
    <row r="25" customFormat="false" ht="15" hidden="false" customHeight="false" outlineLevel="0" collapsed="false">
      <c r="E25" s="3" t="s">
        <v>65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K12" activeCellId="0" sqref="K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66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67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23.85" hidden="false" customHeight="false" outlineLevel="0" collapsed="false">
      <c r="A11" s="12" t="s">
        <v>68</v>
      </c>
      <c r="B11" s="12" t="s">
        <v>69</v>
      </c>
      <c r="E11" s="8" t="s">
        <v>41</v>
      </c>
      <c r="F11" s="23" t="n">
        <f aca="false">SLOPE(B12:B18,A12:A18)</f>
        <v>0.0186428571428571</v>
      </c>
      <c r="G11" s="8" t="s">
        <v>42</v>
      </c>
      <c r="H11" s="3" t="s">
        <v>43</v>
      </c>
    </row>
    <row r="12" customFormat="false" ht="15" hidden="false" customHeight="false" outlineLevel="0" collapsed="false">
      <c r="A12" s="7" t="n">
        <v>0</v>
      </c>
      <c r="B12" s="7" t="n">
        <v>0.32</v>
      </c>
      <c r="E12" s="8" t="s">
        <v>44</v>
      </c>
      <c r="F12" s="15" t="n">
        <f aca="false">INTERCEPT(B12:B18,A12:A18)</f>
        <v>0.321785714285714</v>
      </c>
      <c r="G12" s="8"/>
      <c r="H12" s="3" t="s">
        <v>45</v>
      </c>
    </row>
    <row r="13" customFormat="false" ht="15" hidden="false" customHeight="false" outlineLevel="0" collapsed="false">
      <c r="A13" s="7" t="n">
        <v>5</v>
      </c>
      <c r="B13" s="7" t="n">
        <v>0.41</v>
      </c>
      <c r="E13" s="8" t="s">
        <v>46</v>
      </c>
      <c r="F13" s="24" t="n">
        <f aca="false">STEYX(B12:B18,A12:A18)</f>
        <v>0.0109217999563126</v>
      </c>
      <c r="G13" s="8"/>
      <c r="H13" s="3" t="s">
        <v>47</v>
      </c>
    </row>
    <row r="14" customFormat="false" ht="15" hidden="false" customHeight="false" outlineLevel="0" collapsed="false">
      <c r="A14" s="7" t="n">
        <v>10</v>
      </c>
      <c r="B14" s="7" t="n">
        <v>0.52</v>
      </c>
      <c r="E14" s="8" t="s">
        <v>70</v>
      </c>
      <c r="F14" s="16" t="n">
        <f aca="false">COUNT(A12:A18)</f>
        <v>7</v>
      </c>
      <c r="G14" s="8"/>
      <c r="H14" s="3" t="s">
        <v>49</v>
      </c>
    </row>
    <row r="15" customFormat="false" ht="15" hidden="false" customHeight="false" outlineLevel="0" collapsed="false">
      <c r="A15" s="7" t="n">
        <v>15</v>
      </c>
      <c r="B15" s="7" t="n">
        <v>0.6</v>
      </c>
      <c r="E15" s="8" t="s">
        <v>50</v>
      </c>
      <c r="F15" s="17" t="n">
        <f aca="false">F14*VARPA(A12:A18)</f>
        <v>700</v>
      </c>
      <c r="G15" s="8"/>
      <c r="H15" s="3" t="s">
        <v>51</v>
      </c>
    </row>
    <row r="16" customFormat="false" ht="15" hidden="false" customHeight="false" outlineLevel="0" collapsed="false">
      <c r="A16" s="7" t="n">
        <v>20</v>
      </c>
      <c r="B16" s="7" t="n">
        <v>0.7</v>
      </c>
      <c r="E16" s="8" t="s">
        <v>71</v>
      </c>
      <c r="F16" s="15" t="n">
        <f aca="false">AVERAGE(B12:B18)</f>
        <v>0.601428571428571</v>
      </c>
      <c r="G16" s="8"/>
      <c r="H16" s="3" t="s">
        <v>53</v>
      </c>
    </row>
    <row r="17" customFormat="false" ht="15" hidden="false" customHeight="false" outlineLevel="0" collapsed="false">
      <c r="A17" s="7" t="n">
        <v>25</v>
      </c>
      <c r="B17" s="7" t="n">
        <v>0.77</v>
      </c>
      <c r="E17" s="8" t="s">
        <v>72</v>
      </c>
      <c r="F17" s="17" t="n">
        <f aca="false">F12/F11</f>
        <v>17.2605363984674</v>
      </c>
      <c r="G17" s="8" t="s">
        <v>55</v>
      </c>
      <c r="H17" s="3" t="s">
        <v>73</v>
      </c>
    </row>
    <row r="18" customFormat="false" ht="15" hidden="false" customHeight="false" outlineLevel="0" collapsed="false">
      <c r="A18" s="7" t="n">
        <v>30</v>
      </c>
      <c r="B18" s="7" t="n">
        <v>0.89</v>
      </c>
      <c r="E18" s="8" t="s">
        <v>74</v>
      </c>
      <c r="F18" s="18" t="n">
        <f aca="false">F13/F11*SQRT(1/F14+F16^2/(F11^2*F15))</f>
        <v>0.747870636049848</v>
      </c>
      <c r="G18" s="8" t="s">
        <v>55</v>
      </c>
      <c r="H18" s="3" t="s">
        <v>75</v>
      </c>
    </row>
    <row r="19" customFormat="false" ht="15" hidden="false" customHeight="false" outlineLevel="0" collapsed="false">
      <c r="E19" s="8" t="s">
        <v>76</v>
      </c>
      <c r="F19" s="13" t="n">
        <v>1</v>
      </c>
      <c r="G19" s="8"/>
      <c r="H19" s="3" t="s">
        <v>77</v>
      </c>
    </row>
    <row r="20" customFormat="false" ht="15" hidden="false" customHeight="false" outlineLevel="0" collapsed="false">
      <c r="E20" s="8" t="s">
        <v>78</v>
      </c>
      <c r="F20" s="17" t="n">
        <f aca="false">F19*F17</f>
        <v>17.2605363984674</v>
      </c>
      <c r="G20" s="8" t="s">
        <v>55</v>
      </c>
      <c r="H20" s="3" t="s">
        <v>79</v>
      </c>
    </row>
    <row r="21" customFormat="false" ht="15" hidden="false" customHeight="false" outlineLevel="0" collapsed="false">
      <c r="E21" s="8" t="s">
        <v>57</v>
      </c>
      <c r="F21" s="18" t="n">
        <f aca="false">F19*F18</f>
        <v>0.747870636049848</v>
      </c>
      <c r="G21" s="8" t="s">
        <v>55</v>
      </c>
      <c r="H21" s="3" t="s">
        <v>80</v>
      </c>
    </row>
    <row r="22" customFormat="false" ht="15" hidden="false" customHeight="false" outlineLevel="0" collapsed="false">
      <c r="E22" s="8" t="s">
        <v>59</v>
      </c>
      <c r="F22" s="18" t="n">
        <f aca="false">2*F21</f>
        <v>1.4957412720997</v>
      </c>
      <c r="G22" s="8" t="s">
        <v>55</v>
      </c>
      <c r="H22" s="3" t="s">
        <v>60</v>
      </c>
    </row>
    <row r="24" customFormat="false" ht="15" hidden="false" customHeight="false" outlineLevel="0" collapsed="false">
      <c r="E24" s="6" t="s">
        <v>61</v>
      </c>
    </row>
    <row r="25" customFormat="false" ht="15" hidden="false" customHeight="false" outlineLevel="0" collapsed="false">
      <c r="E25" s="19" t="s">
        <v>81</v>
      </c>
      <c r="F25" s="20" t="str">
        <f aca="false">FIXED(F20,MAX(0,(1-INT(LOG10(F22)))),TRUE())</f>
        <v>17.3</v>
      </c>
      <c r="G25" s="21" t="s">
        <v>63</v>
      </c>
      <c r="H25" s="22" t="str">
        <f aca="false">FIXED(F22,MAX(0,(1-INT(LOG10(F22)))),TRUE())</f>
        <v>1.5</v>
      </c>
      <c r="I25" s="19" t="s">
        <v>64</v>
      </c>
    </row>
    <row r="26" customFormat="false" ht="15" hidden="false" customHeight="false" outlineLevel="0" collapsed="false">
      <c r="E26" s="3" t="s">
        <v>65</v>
      </c>
    </row>
    <row r="28" customFormat="false" ht="41.75" hidden="false" customHeight="false" outlineLevel="0" collapsed="false">
      <c r="E28" s="25" t="s">
        <v>82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83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84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15" hidden="false" customHeight="false" outlineLevel="0" collapsed="false">
      <c r="A11" s="12" t="s">
        <v>85</v>
      </c>
      <c r="B11" s="12" t="s">
        <v>36</v>
      </c>
      <c r="E11" s="8" t="s">
        <v>86</v>
      </c>
      <c r="F11" s="14" t="n">
        <v>50</v>
      </c>
      <c r="G11" s="8" t="s">
        <v>87</v>
      </c>
      <c r="H11" s="3" t="s">
        <v>39</v>
      </c>
    </row>
    <row r="12" customFormat="false" ht="15" hidden="false" customHeight="false" outlineLevel="0" collapsed="false">
      <c r="A12" s="7" t="n">
        <v>0</v>
      </c>
      <c r="B12" s="7" t="n">
        <v>0.811</v>
      </c>
      <c r="E12" s="8" t="s">
        <v>88</v>
      </c>
      <c r="F12" s="14" t="n">
        <v>10</v>
      </c>
      <c r="G12" s="8" t="s">
        <v>87</v>
      </c>
      <c r="H12" s="3" t="s">
        <v>39</v>
      </c>
    </row>
    <row r="13" customFormat="false" ht="15" hidden="false" customHeight="false" outlineLevel="0" collapsed="false">
      <c r="A13" s="7" t="n">
        <v>25</v>
      </c>
      <c r="B13" s="7" t="n">
        <v>0.998</v>
      </c>
      <c r="E13" s="8" t="s">
        <v>41</v>
      </c>
      <c r="F13" s="23" t="n">
        <f aca="false">SLOPE(B12:B16,A12:A16)</f>
        <v>0.006516</v>
      </c>
      <c r="G13" s="8" t="s">
        <v>42</v>
      </c>
      <c r="H13" s="3" t="s">
        <v>43</v>
      </c>
    </row>
    <row r="14" customFormat="false" ht="15" hidden="false" customHeight="false" outlineLevel="0" collapsed="false">
      <c r="A14" s="7" t="n">
        <v>50</v>
      </c>
      <c r="B14" s="7" t="n">
        <v>1.135</v>
      </c>
      <c r="E14" s="8" t="s">
        <v>44</v>
      </c>
      <c r="F14" s="15" t="n">
        <f aca="false">INTERCEPT(B12:B16,A12:A16)</f>
        <v>0.821</v>
      </c>
      <c r="G14" s="8"/>
      <c r="H14" s="3" t="s">
        <v>45</v>
      </c>
    </row>
    <row r="15" customFormat="false" ht="15" hidden="false" customHeight="false" outlineLevel="0" collapsed="false">
      <c r="A15" s="7" t="n">
        <v>75</v>
      </c>
      <c r="B15" s="7" t="n">
        <v>1.331</v>
      </c>
      <c r="E15" s="8" t="s">
        <v>46</v>
      </c>
      <c r="F15" s="24" t="n">
        <f aca="false">STEYX(B12:B16,A12:A16)</f>
        <v>0.0189446562386332</v>
      </c>
      <c r="G15" s="8"/>
      <c r="H15" s="3" t="s">
        <v>47</v>
      </c>
    </row>
    <row r="16" customFormat="false" ht="15" hidden="false" customHeight="false" outlineLevel="0" collapsed="false">
      <c r="A16" s="7" t="n">
        <v>100</v>
      </c>
      <c r="B16" s="7" t="n">
        <v>1.459</v>
      </c>
      <c r="E16" s="8" t="s">
        <v>70</v>
      </c>
      <c r="F16" s="16" t="n">
        <f aca="false">COUNT(A12:A16)</f>
        <v>5</v>
      </c>
      <c r="G16" s="8"/>
      <c r="H16" s="3" t="s">
        <v>49</v>
      </c>
    </row>
    <row r="17" customFormat="false" ht="15" hidden="false" customHeight="false" outlineLevel="0" collapsed="false">
      <c r="E17" s="8" t="s">
        <v>50</v>
      </c>
      <c r="F17" s="17" t="n">
        <f aca="false">F16*VARPA(A12:A16)</f>
        <v>6250</v>
      </c>
      <c r="G17" s="8"/>
      <c r="H17" s="3" t="s">
        <v>51</v>
      </c>
    </row>
    <row r="18" customFormat="false" ht="15" hidden="false" customHeight="false" outlineLevel="0" collapsed="false">
      <c r="E18" s="8" t="s">
        <v>71</v>
      </c>
      <c r="F18" s="15" t="n">
        <f aca="false">AVERAGE(B12:B16)</f>
        <v>1.1468</v>
      </c>
      <c r="G18" s="8"/>
      <c r="H18" s="3" t="s">
        <v>53</v>
      </c>
    </row>
    <row r="19" customFormat="false" ht="15" hidden="false" customHeight="false" outlineLevel="0" collapsed="false">
      <c r="E19" s="8" t="s">
        <v>72</v>
      </c>
      <c r="F19" s="17" t="n">
        <f aca="false">F14/F13</f>
        <v>125.997544505832</v>
      </c>
      <c r="G19" s="8" t="s">
        <v>55</v>
      </c>
      <c r="H19" s="3" t="s">
        <v>73</v>
      </c>
    </row>
    <row r="20" customFormat="false" ht="15" hidden="false" customHeight="false" outlineLevel="0" collapsed="false">
      <c r="E20" s="8" t="s">
        <v>74</v>
      </c>
      <c r="F20" s="18" t="n">
        <f aca="false">F15/F13*SQRT(1/F16+F18^2/(F13^2*F17))</f>
        <v>6.60181001377752</v>
      </c>
      <c r="G20" s="8" t="s">
        <v>55</v>
      </c>
      <c r="H20" s="3" t="s">
        <v>75</v>
      </c>
    </row>
    <row r="21" customFormat="false" ht="15" hidden="false" customHeight="false" outlineLevel="0" collapsed="false">
      <c r="E21" s="8" t="s">
        <v>76</v>
      </c>
      <c r="F21" s="17" t="n">
        <f aca="false">F11/F12</f>
        <v>5</v>
      </c>
      <c r="G21" s="8"/>
      <c r="H21" s="3" t="s">
        <v>89</v>
      </c>
    </row>
    <row r="22" customFormat="false" ht="15" hidden="false" customHeight="false" outlineLevel="0" collapsed="false">
      <c r="E22" s="8" t="s">
        <v>78</v>
      </c>
      <c r="F22" s="17" t="n">
        <f aca="false">F21*F19</f>
        <v>629.987722529159</v>
      </c>
      <c r="G22" s="8" t="s">
        <v>55</v>
      </c>
      <c r="H22" s="3" t="s">
        <v>79</v>
      </c>
    </row>
    <row r="23" customFormat="false" ht="15" hidden="false" customHeight="false" outlineLevel="0" collapsed="false">
      <c r="E23" s="8" t="s">
        <v>57</v>
      </c>
      <c r="F23" s="18" t="n">
        <f aca="false">F21*F20</f>
        <v>33.0090500688876</v>
      </c>
      <c r="G23" s="8" t="s">
        <v>55</v>
      </c>
      <c r="H23" s="3" t="s">
        <v>80</v>
      </c>
    </row>
    <row r="24" customFormat="false" ht="15" hidden="false" customHeight="false" outlineLevel="0" collapsed="false">
      <c r="E24" s="8" t="s">
        <v>59</v>
      </c>
      <c r="F24" s="18" t="n">
        <f aca="false">2*F23</f>
        <v>66.0181001377752</v>
      </c>
      <c r="G24" s="8" t="s">
        <v>55</v>
      </c>
      <c r="H24" s="3" t="s">
        <v>60</v>
      </c>
    </row>
    <row r="26" customFormat="false" ht="15" hidden="false" customHeight="false" outlineLevel="0" collapsed="false">
      <c r="E26" s="6" t="s">
        <v>61</v>
      </c>
    </row>
    <row r="27" customFormat="false" ht="15" hidden="false" customHeight="false" outlineLevel="0" collapsed="false">
      <c r="E27" s="19" t="s">
        <v>81</v>
      </c>
      <c r="F27" s="20" t="str">
        <f aca="false">FIXED(F22,MAX(0,(1-INT(LOG10(F24)))),TRUE())</f>
        <v>630</v>
      </c>
      <c r="G27" s="21" t="s">
        <v>63</v>
      </c>
      <c r="H27" s="22" t="str">
        <f aca="false">FIXED(F24,MAX(0,(1-INT(LOG10(F24)))),TRUE())</f>
        <v>66</v>
      </c>
      <c r="I27" s="19" t="s">
        <v>64</v>
      </c>
    </row>
    <row r="28" customFormat="false" ht="15" hidden="false" customHeight="false" outlineLevel="0" collapsed="false">
      <c r="E28" s="3" t="s">
        <v>65</v>
      </c>
    </row>
    <row r="29" customFormat="false" ht="15" hidden="false" customHeight="false" outlineLevel="0" collapsed="false">
      <c r="E29" s="8" t="s">
        <v>90</v>
      </c>
      <c r="F29" s="26" t="str">
        <f aca="false">FIXED(F22/1000,3,TRUE())</f>
        <v>0.630</v>
      </c>
      <c r="G29" s="21" t="s">
        <v>63</v>
      </c>
      <c r="H29" s="22" t="str">
        <f aca="false">FIXED(F24/1000,3,TRUE())</f>
        <v>0.066</v>
      </c>
      <c r="I29" s="19" t="s">
        <v>91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92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93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23.85" hidden="false" customHeight="false" outlineLevel="0" collapsed="false">
      <c r="A11" s="12" t="s">
        <v>94</v>
      </c>
      <c r="B11" s="12" t="s">
        <v>69</v>
      </c>
      <c r="C11" s="12" t="s">
        <v>85</v>
      </c>
      <c r="E11" s="8" t="s">
        <v>86</v>
      </c>
      <c r="F11" s="14" t="n">
        <v>50</v>
      </c>
      <c r="G11" s="8" t="s">
        <v>87</v>
      </c>
      <c r="H11" s="3" t="s">
        <v>39</v>
      </c>
    </row>
    <row r="12" customFormat="false" ht="15" hidden="false" customHeight="false" outlineLevel="0" collapsed="false">
      <c r="A12" s="7" t="n">
        <v>0</v>
      </c>
      <c r="B12" s="7" t="n">
        <v>0.201</v>
      </c>
      <c r="C12" s="27" t="n">
        <f aca="false">$F$13*A12/$F$11</f>
        <v>0</v>
      </c>
      <c r="E12" s="8" t="s">
        <v>88</v>
      </c>
      <c r="F12" s="14" t="n">
        <v>10</v>
      </c>
      <c r="G12" s="8" t="s">
        <v>87</v>
      </c>
      <c r="H12" s="3" t="s">
        <v>39</v>
      </c>
    </row>
    <row r="13" customFormat="false" ht="15" hidden="false" customHeight="false" outlineLevel="0" collapsed="false">
      <c r="A13" s="7" t="n">
        <v>10</v>
      </c>
      <c r="B13" s="7" t="n">
        <v>0.292</v>
      </c>
      <c r="C13" s="27" t="n">
        <f aca="false">$F$13*A13/$F$11</f>
        <v>2.44</v>
      </c>
      <c r="E13" s="8" t="s">
        <v>95</v>
      </c>
      <c r="F13" s="28" t="n">
        <v>12.2</v>
      </c>
      <c r="G13" s="8" t="s">
        <v>55</v>
      </c>
      <c r="H13" s="3" t="s">
        <v>39</v>
      </c>
    </row>
    <row r="14" customFormat="false" ht="15" hidden="false" customHeight="false" outlineLevel="0" collapsed="false">
      <c r="A14" s="7" t="n">
        <v>20</v>
      </c>
      <c r="B14" s="7" t="n">
        <v>0.378</v>
      </c>
      <c r="C14" s="27" t="n">
        <f aca="false">$F$13*A14/$F$11</f>
        <v>4.88</v>
      </c>
      <c r="E14" s="8" t="s">
        <v>96</v>
      </c>
      <c r="F14" s="29"/>
      <c r="G14" s="8"/>
      <c r="H14" s="3" t="s">
        <v>97</v>
      </c>
    </row>
    <row r="15" customFormat="false" ht="15" hidden="false" customHeight="false" outlineLevel="0" collapsed="false">
      <c r="A15" s="7" t="n">
        <v>30</v>
      </c>
      <c r="B15" s="7" t="n">
        <v>0.467</v>
      </c>
      <c r="C15" s="27" t="n">
        <f aca="false">$F$13*A15/$F$11</f>
        <v>7.32</v>
      </c>
      <c r="E15" s="8" t="s">
        <v>41</v>
      </c>
      <c r="F15" s="23" t="n">
        <f aca="false">SLOPE(B12:B16,C12:C16)</f>
        <v>0.0361065573770492</v>
      </c>
      <c r="G15" s="8" t="s">
        <v>42</v>
      </c>
      <c r="H15" s="3" t="s">
        <v>98</v>
      </c>
    </row>
    <row r="16" customFormat="false" ht="15" hidden="false" customHeight="false" outlineLevel="0" collapsed="false">
      <c r="A16" s="7" t="n">
        <v>40</v>
      </c>
      <c r="B16" s="7" t="n">
        <v>0.554</v>
      </c>
      <c r="C16" s="27" t="n">
        <f aca="false">$F$13*A16/$F$11</f>
        <v>9.76</v>
      </c>
      <c r="E16" s="8" t="s">
        <v>44</v>
      </c>
      <c r="F16" s="15" t="n">
        <f aca="false">INTERCEPT(B12:B16,C12:C16)</f>
        <v>0.2022</v>
      </c>
      <c r="G16" s="8"/>
      <c r="H16" s="3" t="s">
        <v>45</v>
      </c>
    </row>
    <row r="17" customFormat="false" ht="15" hidden="false" customHeight="false" outlineLevel="0" collapsed="false">
      <c r="E17" s="8" t="s">
        <v>46</v>
      </c>
      <c r="F17" s="23" t="n">
        <f aca="false">STEYX(B12:B16,C12:C16)</f>
        <v>0.00130384048104221</v>
      </c>
      <c r="G17" s="8"/>
      <c r="H17" s="3" t="s">
        <v>47</v>
      </c>
    </row>
    <row r="18" customFormat="false" ht="15" hidden="false" customHeight="false" outlineLevel="0" collapsed="false">
      <c r="E18" s="8" t="s">
        <v>70</v>
      </c>
      <c r="F18" s="16" t="n">
        <f aca="false">COUNT(C12:C16)</f>
        <v>5</v>
      </c>
      <c r="G18" s="8"/>
      <c r="H18" s="3" t="s">
        <v>49</v>
      </c>
    </row>
    <row r="19" customFormat="false" ht="15" hidden="false" customHeight="false" outlineLevel="0" collapsed="false">
      <c r="E19" s="8" t="s">
        <v>50</v>
      </c>
      <c r="F19" s="15" t="n">
        <f aca="false">F18*VARPA(C12:C16)</f>
        <v>59.536</v>
      </c>
      <c r="G19" s="8"/>
      <c r="H19" s="3" t="s">
        <v>51</v>
      </c>
    </row>
    <row r="20" customFormat="false" ht="15" hidden="false" customHeight="false" outlineLevel="0" collapsed="false">
      <c r="E20" s="8" t="s">
        <v>71</v>
      </c>
      <c r="F20" s="15" t="n">
        <f aca="false">AVERAGE(B12:B16)</f>
        <v>0.3784</v>
      </c>
      <c r="G20" s="8"/>
      <c r="H20" s="3" t="s">
        <v>53</v>
      </c>
    </row>
    <row r="21" customFormat="false" ht="15" hidden="false" customHeight="false" outlineLevel="0" collapsed="false">
      <c r="E21" s="8" t="s">
        <v>72</v>
      </c>
      <c r="F21" s="15" t="n">
        <f aca="false">F16/F15</f>
        <v>5.60009080590238</v>
      </c>
      <c r="G21" s="8" t="s">
        <v>55</v>
      </c>
      <c r="H21" s="3" t="s">
        <v>73</v>
      </c>
    </row>
    <row r="22" customFormat="false" ht="15" hidden="false" customHeight="false" outlineLevel="0" collapsed="false">
      <c r="E22" s="8" t="s">
        <v>74</v>
      </c>
      <c r="F22" s="24" t="n">
        <f aca="false">F17/F15*SQRT(1/F18+F20^2/(F15^2*F19))</f>
        <v>0.0516373938270965</v>
      </c>
      <c r="G22" s="8" t="s">
        <v>55</v>
      </c>
      <c r="H22" s="3" t="s">
        <v>75</v>
      </c>
    </row>
    <row r="23" customFormat="false" ht="15" hidden="false" customHeight="false" outlineLevel="0" collapsed="false">
      <c r="E23" s="8" t="s">
        <v>76</v>
      </c>
      <c r="F23" s="17" t="n">
        <f aca="false">F11/F12</f>
        <v>5</v>
      </c>
      <c r="G23" s="8"/>
      <c r="H23" s="3" t="s">
        <v>89</v>
      </c>
    </row>
    <row r="24" customFormat="false" ht="15" hidden="false" customHeight="false" outlineLevel="0" collapsed="false">
      <c r="E24" s="8" t="s">
        <v>78</v>
      </c>
      <c r="F24" s="15" t="n">
        <f aca="false">F23*F21</f>
        <v>28.0004540295119</v>
      </c>
      <c r="G24" s="8" t="s">
        <v>55</v>
      </c>
      <c r="H24" s="3" t="s">
        <v>79</v>
      </c>
    </row>
    <row r="25" customFormat="false" ht="15" hidden="false" customHeight="false" outlineLevel="0" collapsed="false">
      <c r="E25" s="8" t="s">
        <v>57</v>
      </c>
      <c r="F25" s="24" t="n">
        <f aca="false">F23*F22</f>
        <v>0.258186969135482</v>
      </c>
      <c r="G25" s="8" t="s">
        <v>55</v>
      </c>
      <c r="H25" s="3" t="s">
        <v>80</v>
      </c>
    </row>
    <row r="26" customFormat="false" ht="15" hidden="false" customHeight="false" outlineLevel="0" collapsed="false">
      <c r="E26" s="8" t="s">
        <v>59</v>
      </c>
      <c r="F26" s="24" t="n">
        <f aca="false">2*F25</f>
        <v>0.516373938270965</v>
      </c>
      <c r="G26" s="8" t="s">
        <v>55</v>
      </c>
      <c r="H26" s="3" t="s">
        <v>60</v>
      </c>
    </row>
    <row r="28" customFormat="false" ht="15" hidden="false" customHeight="false" outlineLevel="0" collapsed="false">
      <c r="E28" s="6" t="s">
        <v>61</v>
      </c>
    </row>
    <row r="29" customFormat="false" ht="15" hidden="false" customHeight="false" outlineLevel="0" collapsed="false">
      <c r="E29" s="19" t="s">
        <v>81</v>
      </c>
      <c r="F29" s="20" t="str">
        <f aca="false">FIXED(F24,MAX(0,(1-INT(LOG10(F26)))),TRUE())</f>
        <v>28.00</v>
      </c>
      <c r="G29" s="21" t="s">
        <v>63</v>
      </c>
      <c r="H29" s="22" t="str">
        <f aca="false">FIXED(F26,MAX(0,(1-INT(LOG10(F26)))),TRUE())</f>
        <v>0.52</v>
      </c>
      <c r="I29" s="19" t="s">
        <v>64</v>
      </c>
    </row>
    <row r="30" customFormat="false" ht="15" hidden="false" customHeight="false" outlineLevel="0" collapsed="false">
      <c r="E30" s="3" t="s">
        <v>65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99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100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23.85" hidden="false" customHeight="false" outlineLevel="0" collapsed="false">
      <c r="A11" s="12" t="s">
        <v>94</v>
      </c>
      <c r="B11" s="12" t="s">
        <v>69</v>
      </c>
      <c r="C11" s="12" t="s">
        <v>85</v>
      </c>
      <c r="E11" s="8" t="s">
        <v>86</v>
      </c>
      <c r="F11" s="14" t="n">
        <v>50</v>
      </c>
      <c r="G11" s="8" t="s">
        <v>87</v>
      </c>
      <c r="H11" s="3" t="s">
        <v>39</v>
      </c>
    </row>
    <row r="12" customFormat="false" ht="15" hidden="false" customHeight="false" outlineLevel="0" collapsed="false">
      <c r="A12" s="7" t="n">
        <v>0</v>
      </c>
      <c r="B12" s="7" t="n">
        <v>0.101</v>
      </c>
      <c r="C12" s="27" t="n">
        <f aca="false">$F$13*A12/$F$11</f>
        <v>0</v>
      </c>
      <c r="E12" s="8" t="s">
        <v>88</v>
      </c>
      <c r="F12" s="14" t="n">
        <v>25</v>
      </c>
      <c r="G12" s="8" t="s">
        <v>87</v>
      </c>
      <c r="H12" s="3" t="s">
        <v>39</v>
      </c>
    </row>
    <row r="13" customFormat="false" ht="15" hidden="false" customHeight="false" outlineLevel="0" collapsed="false">
      <c r="A13" s="7" t="n">
        <v>1</v>
      </c>
      <c r="B13" s="7" t="n">
        <v>0.176</v>
      </c>
      <c r="C13" s="27" t="n">
        <f aca="false">$F$13*A13/$F$11</f>
        <v>0.05</v>
      </c>
      <c r="E13" s="8" t="s">
        <v>95</v>
      </c>
      <c r="F13" s="28" t="n">
        <v>2.5</v>
      </c>
      <c r="G13" s="8" t="s">
        <v>55</v>
      </c>
      <c r="H13" s="3" t="s">
        <v>39</v>
      </c>
    </row>
    <row r="14" customFormat="false" ht="15" hidden="false" customHeight="false" outlineLevel="0" collapsed="false">
      <c r="A14" s="7" t="n">
        <v>2</v>
      </c>
      <c r="B14" s="7" t="n">
        <v>0.238</v>
      </c>
      <c r="C14" s="27" t="n">
        <f aca="false">$F$13*A14/$F$11</f>
        <v>0.1</v>
      </c>
      <c r="E14" s="8" t="s">
        <v>96</v>
      </c>
      <c r="F14" s="29"/>
      <c r="G14" s="8"/>
      <c r="H14" s="3" t="s">
        <v>97</v>
      </c>
    </row>
    <row r="15" customFormat="false" ht="15" hidden="false" customHeight="false" outlineLevel="0" collapsed="false">
      <c r="A15" s="7" t="n">
        <v>3</v>
      </c>
      <c r="B15" s="7" t="n">
        <v>0.31</v>
      </c>
      <c r="C15" s="27" t="n">
        <f aca="false">$F$13*A15/$F$11</f>
        <v>0.15</v>
      </c>
      <c r="E15" s="8" t="s">
        <v>41</v>
      </c>
      <c r="F15" s="23" t="n">
        <f aca="false">SLOPE(B12:B15,C12:C15)</f>
        <v>1.378</v>
      </c>
      <c r="G15" s="8" t="s">
        <v>42</v>
      </c>
      <c r="H15" s="3" t="s">
        <v>98</v>
      </c>
    </row>
    <row r="16" customFormat="false" ht="15" hidden="false" customHeight="false" outlineLevel="0" collapsed="false">
      <c r="E16" s="8" t="s">
        <v>44</v>
      </c>
      <c r="F16" s="15" t="n">
        <f aca="false">INTERCEPT(B12:B15,C12:C15)</f>
        <v>0.1029</v>
      </c>
      <c r="G16" s="8"/>
      <c r="H16" s="3" t="s">
        <v>45</v>
      </c>
    </row>
    <row r="17" customFormat="false" ht="15" hidden="false" customHeight="false" outlineLevel="0" collapsed="false">
      <c r="E17" s="8" t="s">
        <v>46</v>
      </c>
      <c r="F17" s="23" t="n">
        <f aca="false">STEYX(B12:B15,C12:C15)</f>
        <v>0.0037881393849754</v>
      </c>
      <c r="G17" s="8"/>
      <c r="H17" s="3" t="s">
        <v>47</v>
      </c>
    </row>
    <row r="18" customFormat="false" ht="15" hidden="false" customHeight="false" outlineLevel="0" collapsed="false">
      <c r="E18" s="8" t="s">
        <v>70</v>
      </c>
      <c r="F18" s="16" t="n">
        <f aca="false">COUNT(C12:C15)</f>
        <v>4</v>
      </c>
      <c r="G18" s="8"/>
      <c r="H18" s="3" t="s">
        <v>49</v>
      </c>
    </row>
    <row r="19" customFormat="false" ht="15" hidden="false" customHeight="false" outlineLevel="0" collapsed="false">
      <c r="E19" s="8" t="s">
        <v>50</v>
      </c>
      <c r="F19" s="15" t="n">
        <f aca="false">F18*VARPA(C12:C15)</f>
        <v>0.0125</v>
      </c>
      <c r="G19" s="8"/>
      <c r="H19" s="3" t="s">
        <v>51</v>
      </c>
    </row>
    <row r="20" customFormat="false" ht="15" hidden="false" customHeight="false" outlineLevel="0" collapsed="false">
      <c r="E20" s="8" t="s">
        <v>71</v>
      </c>
      <c r="F20" s="15" t="n">
        <f aca="false">AVERAGE(B12:B15)</f>
        <v>0.20625</v>
      </c>
      <c r="G20" s="8"/>
      <c r="H20" s="3" t="s">
        <v>53</v>
      </c>
    </row>
    <row r="21" customFormat="false" ht="15" hidden="false" customHeight="false" outlineLevel="0" collapsed="false">
      <c r="E21" s="8" t="s">
        <v>72</v>
      </c>
      <c r="F21" s="15" t="n">
        <f aca="false">F16/F15</f>
        <v>0.0746734397677794</v>
      </c>
      <c r="G21" s="8" t="s">
        <v>55</v>
      </c>
      <c r="H21" s="3" t="s">
        <v>73</v>
      </c>
    </row>
    <row r="22" customFormat="false" ht="15" hidden="false" customHeight="false" outlineLevel="0" collapsed="false">
      <c r="E22" s="8" t="s">
        <v>74</v>
      </c>
      <c r="F22" s="24" t="n">
        <f aca="false">F17/F15*SQRT(1/F18+F20^2/(F15^2*F19))</f>
        <v>0.00392846415144809</v>
      </c>
      <c r="G22" s="8" t="s">
        <v>55</v>
      </c>
      <c r="H22" s="3" t="s">
        <v>75</v>
      </c>
    </row>
    <row r="23" customFormat="false" ht="15" hidden="false" customHeight="false" outlineLevel="0" collapsed="false">
      <c r="E23" s="8" t="s">
        <v>76</v>
      </c>
      <c r="F23" s="17" t="n">
        <f aca="false">F11/F12</f>
        <v>2</v>
      </c>
      <c r="G23" s="8"/>
      <c r="H23" s="3" t="s">
        <v>89</v>
      </c>
    </row>
    <row r="24" customFormat="false" ht="15" hidden="false" customHeight="false" outlineLevel="0" collapsed="false">
      <c r="E24" s="8" t="s">
        <v>78</v>
      </c>
      <c r="F24" s="15" t="n">
        <f aca="false">F23*F21</f>
        <v>0.149346879535559</v>
      </c>
      <c r="G24" s="8" t="s">
        <v>55</v>
      </c>
      <c r="H24" s="3" t="s">
        <v>79</v>
      </c>
    </row>
    <row r="25" customFormat="false" ht="15" hidden="false" customHeight="false" outlineLevel="0" collapsed="false">
      <c r="E25" s="8" t="s">
        <v>57</v>
      </c>
      <c r="F25" s="24" t="n">
        <f aca="false">F23*F22</f>
        <v>0.00785692830289619</v>
      </c>
      <c r="G25" s="8" t="s">
        <v>55</v>
      </c>
      <c r="H25" s="3" t="s">
        <v>80</v>
      </c>
    </row>
    <row r="26" customFormat="false" ht="15" hidden="false" customHeight="false" outlineLevel="0" collapsed="false">
      <c r="E26" s="8" t="s">
        <v>59</v>
      </c>
      <c r="F26" s="24" t="n">
        <f aca="false">2*F25</f>
        <v>0.0157138566057924</v>
      </c>
      <c r="G26" s="8" t="s">
        <v>55</v>
      </c>
      <c r="H26" s="3" t="s">
        <v>60</v>
      </c>
    </row>
    <row r="28" customFormat="false" ht="15" hidden="false" customHeight="false" outlineLevel="0" collapsed="false">
      <c r="E28" s="6" t="s">
        <v>61</v>
      </c>
    </row>
    <row r="29" customFormat="false" ht="15" hidden="false" customHeight="false" outlineLevel="0" collapsed="false">
      <c r="E29" s="19" t="s">
        <v>81</v>
      </c>
      <c r="F29" s="20" t="str">
        <f aca="false">FIXED(F24,MAX(0,(1-INT(LOG10(F26)))),TRUE())</f>
        <v>0.149</v>
      </c>
      <c r="G29" s="21" t="s">
        <v>63</v>
      </c>
      <c r="H29" s="22" t="str">
        <f aca="false">FIXED(F26,MAX(0,(1-INT(LOG10(F26)))),TRUE())</f>
        <v>0.016</v>
      </c>
      <c r="I29" s="19" t="s">
        <v>64</v>
      </c>
    </row>
    <row r="30" customFormat="false" ht="15" hidden="false" customHeight="false" outlineLevel="0" collapsed="false">
      <c r="E30" s="3" t="s">
        <v>65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101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102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15" hidden="false" customHeight="false" outlineLevel="0" collapsed="false">
      <c r="A11" s="12" t="s">
        <v>103</v>
      </c>
      <c r="B11" s="12" t="s">
        <v>104</v>
      </c>
      <c r="E11" s="8" t="s">
        <v>105</v>
      </c>
      <c r="F11" s="13" t="n">
        <v>0.67</v>
      </c>
      <c r="G11" s="8" t="s">
        <v>106</v>
      </c>
      <c r="H11" s="3" t="s">
        <v>39</v>
      </c>
    </row>
    <row r="12" customFormat="false" ht="15" hidden="false" customHeight="false" outlineLevel="0" collapsed="false">
      <c r="A12" s="7" t="n">
        <v>1</v>
      </c>
      <c r="B12" s="7" t="n">
        <v>0.69</v>
      </c>
      <c r="E12" s="8" t="s">
        <v>107</v>
      </c>
      <c r="F12" s="13" t="n">
        <v>0.01</v>
      </c>
      <c r="G12" s="8" t="s">
        <v>106</v>
      </c>
      <c r="H12" s="3" t="s">
        <v>108</v>
      </c>
    </row>
    <row r="13" customFormat="false" ht="15" hidden="false" customHeight="false" outlineLevel="0" collapsed="false">
      <c r="A13" s="7" t="n">
        <v>2</v>
      </c>
      <c r="B13" s="7" t="n">
        <v>0.68</v>
      </c>
      <c r="E13" s="8" t="s">
        <v>109</v>
      </c>
      <c r="F13" s="16" t="n">
        <f aca="false">COUNT(B12:B24)</f>
        <v>13</v>
      </c>
      <c r="G13" s="8"/>
      <c r="H13" s="3" t="s">
        <v>49</v>
      </c>
    </row>
    <row r="14" customFormat="false" ht="15" hidden="false" customHeight="false" outlineLevel="0" collapsed="false">
      <c r="A14" s="7" t="n">
        <v>3</v>
      </c>
      <c r="B14" s="7" t="n">
        <v>0.7</v>
      </c>
      <c r="E14" s="8" t="s">
        <v>110</v>
      </c>
      <c r="F14" s="15" t="n">
        <f aca="false">AVERAGE(B12:B24)</f>
        <v>0.679230769230769</v>
      </c>
      <c r="G14" s="8" t="s">
        <v>106</v>
      </c>
      <c r="H14" s="3" t="s">
        <v>53</v>
      </c>
    </row>
    <row r="15" customFormat="false" ht="15" hidden="false" customHeight="false" outlineLevel="0" collapsed="false">
      <c r="A15" s="7" t="n">
        <v>4</v>
      </c>
      <c r="B15" s="7" t="n">
        <v>0.67</v>
      </c>
      <c r="E15" s="8" t="s">
        <v>111</v>
      </c>
      <c r="F15" s="15" t="n">
        <f aca="false">STDEV(B12:B24)</f>
        <v>0.0111516355015295</v>
      </c>
      <c r="G15" s="8" t="s">
        <v>106</v>
      </c>
      <c r="H15" s="3" t="s">
        <v>112</v>
      </c>
    </row>
    <row r="16" customFormat="false" ht="15" hidden="false" customHeight="false" outlineLevel="0" collapsed="false">
      <c r="A16" s="7" t="n">
        <v>5</v>
      </c>
      <c r="B16" s="7" t="n">
        <v>0.67</v>
      </c>
      <c r="E16" s="8" t="s">
        <v>113</v>
      </c>
      <c r="F16" s="24" t="n">
        <f aca="false">F15/SQRT(F13)</f>
        <v>0.00309290720046533</v>
      </c>
      <c r="G16" s="8" t="s">
        <v>106</v>
      </c>
      <c r="H16" s="3" t="s">
        <v>114</v>
      </c>
    </row>
    <row r="17" customFormat="false" ht="15" hidden="false" customHeight="false" outlineLevel="0" collapsed="false">
      <c r="A17" s="7" t="n">
        <v>6</v>
      </c>
      <c r="B17" s="7" t="n">
        <v>0.69</v>
      </c>
      <c r="E17" s="8" t="s">
        <v>115</v>
      </c>
      <c r="F17" s="15" t="n">
        <f aca="false">F14/F11</f>
        <v>1.01377726750861</v>
      </c>
      <c r="G17" s="8"/>
      <c r="H17" s="3" t="s">
        <v>116</v>
      </c>
    </row>
    <row r="18" customFormat="false" ht="15" hidden="false" customHeight="false" outlineLevel="0" collapsed="false">
      <c r="A18" s="7" t="n">
        <v>7</v>
      </c>
      <c r="B18" s="7" t="n">
        <v>0.66</v>
      </c>
      <c r="E18" s="8" t="s">
        <v>117</v>
      </c>
      <c r="F18" s="15" t="n">
        <f aca="false">F17*SQRT((F16/F14)^2+(F12/F11)^2)</f>
        <v>0.0158195232974608</v>
      </c>
      <c r="G18" s="8"/>
      <c r="H18" s="3" t="s">
        <v>118</v>
      </c>
    </row>
    <row r="19" customFormat="false" ht="15" hidden="false" customHeight="false" outlineLevel="0" collapsed="false">
      <c r="A19" s="7" t="n">
        <v>8</v>
      </c>
      <c r="B19" s="7" t="n">
        <v>0.68</v>
      </c>
    </row>
    <row r="20" customFormat="false" ht="15" hidden="false" customHeight="false" outlineLevel="0" collapsed="false">
      <c r="A20" s="7" t="n">
        <v>9</v>
      </c>
      <c r="B20" s="7" t="n">
        <v>0.67</v>
      </c>
      <c r="E20" s="6" t="s">
        <v>119</v>
      </c>
    </row>
    <row r="21" customFormat="false" ht="15" hidden="false" customHeight="false" outlineLevel="0" collapsed="false">
      <c r="A21" s="7" t="n">
        <v>10</v>
      </c>
      <c r="B21" s="7" t="n">
        <v>0.68</v>
      </c>
      <c r="E21" s="8" t="s">
        <v>120</v>
      </c>
      <c r="F21" s="15" t="n">
        <f aca="false">ABS(F17-1)</f>
        <v>0.0137772675086107</v>
      </c>
    </row>
    <row r="22" customFormat="false" ht="15" hidden="false" customHeight="false" outlineLevel="0" collapsed="false">
      <c r="A22" s="7" t="n">
        <v>11</v>
      </c>
      <c r="B22" s="7" t="n">
        <v>0.68</v>
      </c>
      <c r="E22" s="8" t="s">
        <v>121</v>
      </c>
      <c r="F22" s="15" t="n">
        <f aca="false">2*F18</f>
        <v>0.0316390465949216</v>
      </c>
    </row>
    <row r="23" customFormat="false" ht="15" hidden="false" customHeight="false" outlineLevel="0" collapsed="false">
      <c r="A23" s="7" t="n">
        <v>12</v>
      </c>
      <c r="B23" s="7" t="n">
        <v>0.67</v>
      </c>
      <c r="E23" s="19" t="s">
        <v>122</v>
      </c>
      <c r="F23" s="30" t="str">
        <f aca="false">IF(F21&lt;=F22,"|R − 1| ≤ k·u(R): výtěžnost se významně neliší od 1, systematická chyba se neprokázala","|R − 1| &gt; k·u(R): metoda je zatížena systematickou chybou")</f>
        <v>|R − 1| ≤ k·u(R): výtěžnost se významně neliší od 1, systematická chyba se neprokázala</v>
      </c>
    </row>
    <row r="24" customFormat="false" ht="15" hidden="false" customHeight="false" outlineLevel="0" collapsed="false">
      <c r="A24" s="7" t="n">
        <v>13</v>
      </c>
      <c r="B24" s="7" t="n">
        <v>0.69</v>
      </c>
    </row>
    <row r="25" customFormat="false" ht="15" hidden="false" customHeight="false" outlineLevel="0" collapsed="false">
      <c r="E25" s="6" t="s">
        <v>61</v>
      </c>
    </row>
    <row r="26" customFormat="false" ht="15" hidden="false" customHeight="false" outlineLevel="0" collapsed="false">
      <c r="E26" s="19" t="s">
        <v>123</v>
      </c>
      <c r="F26" s="20" t="str">
        <f aca="false">FIXED(F17,MAX(0,(1-INT(LOG10((2*F18))))),TRUE())</f>
        <v>1.014</v>
      </c>
      <c r="G26" s="21" t="s">
        <v>63</v>
      </c>
      <c r="H26" s="22" t="str">
        <f aca="false">FIXED((2*F18),MAX(0,(1-INT(LOG10((2*F18))))),TRUE())</f>
        <v>0.032</v>
      </c>
      <c r="I26" s="19" t="s">
        <v>124</v>
      </c>
    </row>
    <row r="27" customFormat="false" ht="15" hidden="false" customHeight="false" outlineLevel="0" collapsed="false">
      <c r="E27" s="3" t="s">
        <v>65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125</v>
      </c>
    </row>
    <row r="3" customFormat="false" ht="15" hidden="false" customHeight="false" outlineLevel="0" collapsed="false">
      <c r="A3" s="6" t="s">
        <v>32</v>
      </c>
    </row>
    <row r="4" customFormat="false" ht="15" hidden="false" customHeight="true" outlineLevel="0" collapsed="false">
      <c r="A4" s="11" t="s">
        <v>126</v>
      </c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E10" s="6" t="s">
        <v>34</v>
      </c>
    </row>
    <row r="11" customFormat="false" ht="15" hidden="false" customHeight="false" outlineLevel="0" collapsed="false">
      <c r="A11" s="12" t="s">
        <v>103</v>
      </c>
      <c r="B11" s="12" t="s">
        <v>127</v>
      </c>
      <c r="E11" s="8" t="s">
        <v>105</v>
      </c>
      <c r="F11" s="28" t="n">
        <v>47.9</v>
      </c>
      <c r="G11" s="8" t="s">
        <v>128</v>
      </c>
      <c r="H11" s="3" t="s">
        <v>39</v>
      </c>
    </row>
    <row r="12" customFormat="false" ht="15" hidden="false" customHeight="false" outlineLevel="0" collapsed="false">
      <c r="A12" s="7" t="n">
        <v>1</v>
      </c>
      <c r="B12" s="7" t="n">
        <v>46.1</v>
      </c>
      <c r="E12" s="8" t="s">
        <v>107</v>
      </c>
      <c r="F12" s="28" t="n">
        <v>1.3</v>
      </c>
      <c r="G12" s="8" t="s">
        <v>128</v>
      </c>
      <c r="H12" s="3" t="s">
        <v>108</v>
      </c>
    </row>
    <row r="13" customFormat="false" ht="15" hidden="false" customHeight="false" outlineLevel="0" collapsed="false">
      <c r="A13" s="7" t="n">
        <v>2</v>
      </c>
      <c r="B13" s="7" t="n">
        <v>46.2</v>
      </c>
      <c r="E13" s="8" t="s">
        <v>109</v>
      </c>
      <c r="F13" s="16" t="n">
        <f aca="false">COUNT(B12:B18)</f>
        <v>7</v>
      </c>
      <c r="G13" s="8"/>
      <c r="H13" s="3" t="s">
        <v>49</v>
      </c>
    </row>
    <row r="14" customFormat="false" ht="15" hidden="false" customHeight="false" outlineLevel="0" collapsed="false">
      <c r="A14" s="7" t="n">
        <v>3</v>
      </c>
      <c r="B14" s="7" t="n">
        <v>46</v>
      </c>
      <c r="E14" s="8" t="s">
        <v>110</v>
      </c>
      <c r="F14" s="15" t="n">
        <f aca="false">AVERAGE(B12:B18)</f>
        <v>45.9857142857143</v>
      </c>
      <c r="G14" s="8" t="s">
        <v>128</v>
      </c>
      <c r="H14" s="3" t="s">
        <v>53</v>
      </c>
    </row>
    <row r="15" customFormat="false" ht="15" hidden="false" customHeight="false" outlineLevel="0" collapsed="false">
      <c r="A15" s="7" t="n">
        <v>4</v>
      </c>
      <c r="B15" s="7" t="n">
        <v>45.9</v>
      </c>
      <c r="E15" s="8" t="s">
        <v>111</v>
      </c>
      <c r="F15" s="15" t="n">
        <f aca="false">STDEV(B12:B18)</f>
        <v>0.134518541826912</v>
      </c>
      <c r="G15" s="8" t="s">
        <v>128</v>
      </c>
      <c r="H15" s="3" t="s">
        <v>112</v>
      </c>
    </row>
    <row r="16" customFormat="false" ht="15" hidden="false" customHeight="false" outlineLevel="0" collapsed="false">
      <c r="A16" s="7" t="n">
        <v>5</v>
      </c>
      <c r="B16" s="7" t="n">
        <v>45.9</v>
      </c>
      <c r="E16" s="8" t="s">
        <v>113</v>
      </c>
      <c r="F16" s="24" t="n">
        <f aca="false">F15/SQRT(F13)</f>
        <v>0.0508432297715784</v>
      </c>
      <c r="G16" s="8" t="s">
        <v>128</v>
      </c>
      <c r="H16" s="3" t="s">
        <v>114</v>
      </c>
    </row>
    <row r="17" customFormat="false" ht="15" hidden="false" customHeight="false" outlineLevel="0" collapsed="false">
      <c r="A17" s="7" t="n">
        <v>6</v>
      </c>
      <c r="B17" s="7" t="n">
        <v>46</v>
      </c>
      <c r="E17" s="8" t="s">
        <v>115</v>
      </c>
      <c r="F17" s="15" t="n">
        <f aca="false">F14/F11</f>
        <v>0.96003578884581</v>
      </c>
      <c r="G17" s="8"/>
      <c r="H17" s="3" t="s">
        <v>116</v>
      </c>
    </row>
    <row r="18" customFormat="false" ht="15" hidden="false" customHeight="false" outlineLevel="0" collapsed="false">
      <c r="A18" s="7" t="n">
        <v>7</v>
      </c>
      <c r="B18" s="7" t="n">
        <v>45.8</v>
      </c>
      <c r="E18" s="8" t="s">
        <v>117</v>
      </c>
      <c r="F18" s="15" t="n">
        <f aca="false">F17*SQRT((F16/F14)^2+(F12/F11)^2)</f>
        <v>0.0260768628025227</v>
      </c>
      <c r="G18" s="8"/>
      <c r="H18" s="3" t="s">
        <v>118</v>
      </c>
    </row>
    <row r="20" customFormat="false" ht="15" hidden="false" customHeight="false" outlineLevel="0" collapsed="false">
      <c r="E20" s="6" t="s">
        <v>119</v>
      </c>
    </row>
    <row r="21" customFormat="false" ht="15" hidden="false" customHeight="false" outlineLevel="0" collapsed="false">
      <c r="E21" s="8" t="s">
        <v>120</v>
      </c>
      <c r="F21" s="15" t="n">
        <f aca="false">ABS(F17-1)</f>
        <v>0.0399642111541904</v>
      </c>
    </row>
    <row r="22" customFormat="false" ht="15" hidden="false" customHeight="false" outlineLevel="0" collapsed="false">
      <c r="E22" s="8" t="s">
        <v>121</v>
      </c>
      <c r="F22" s="15" t="n">
        <f aca="false">2*F18</f>
        <v>0.0521537256050453</v>
      </c>
    </row>
    <row r="23" customFormat="false" ht="15" hidden="false" customHeight="false" outlineLevel="0" collapsed="false">
      <c r="E23" s="19" t="s">
        <v>122</v>
      </c>
      <c r="F23" s="30" t="str">
        <f aca="false">IF(F21&lt;=F22,"|R − 1| ≤ k·u(R): výtěžnost se významně neliší od 1, systematická chyba se neprokázala","|R − 1| &gt; k·u(R): metoda je zatížena systematickou chybou")</f>
        <v>|R − 1| ≤ k·u(R): výtěžnost se významně neliší od 1, systematická chyba se neprokázala</v>
      </c>
    </row>
    <row r="25" customFormat="false" ht="15" hidden="false" customHeight="false" outlineLevel="0" collapsed="false">
      <c r="E25" s="6" t="s">
        <v>61</v>
      </c>
    </row>
    <row r="26" customFormat="false" ht="15" hidden="false" customHeight="false" outlineLevel="0" collapsed="false">
      <c r="E26" s="19" t="s">
        <v>123</v>
      </c>
      <c r="F26" s="20" t="str">
        <f aca="false">FIXED(F17,MAX(0,(1-INT(LOG10((2*F18))))),TRUE())</f>
        <v>0.960</v>
      </c>
      <c r="G26" s="21" t="s">
        <v>63</v>
      </c>
      <c r="H26" s="22" t="str">
        <f aca="false">FIXED((2*F18),MAX(0,(1-INT(LOG10((2*F18))))),TRUE())</f>
        <v>0.052</v>
      </c>
      <c r="I26" s="19" t="s">
        <v>124</v>
      </c>
    </row>
    <row r="27" customFormat="false" ht="15" hidden="false" customHeight="false" outlineLevel="0" collapsed="false">
      <c r="E27" s="3" t="s">
        <v>65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2026-10-19T20:04:59Z</dcterms:created>
  <dc:creator>openpyxl</dc:creator>
  <dc:description/>
  <dc:language>en-US</dc:language>
  <cp:lastModifiedBy/>
  <dcterms:modified xsi:type="dcterms:W3CDTF">2026-10-20T09:17:09Z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